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3470" windowHeight="901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/>
  <c r="E38"/>
  <c r="E39"/>
  <c r="E40"/>
  <c r="E41"/>
  <c r="E42"/>
  <c r="E61"/>
  <c r="F61"/>
  <c r="G61"/>
  <c r="H61"/>
  <c r="I61"/>
  <c r="E62"/>
  <c r="F62"/>
  <c r="G62"/>
  <c r="H62"/>
  <c r="I62"/>
  <c r="E63"/>
  <c r="F63"/>
  <c r="G63"/>
  <c r="H63"/>
  <c r="I63"/>
  <c r="E64"/>
  <c r="F64"/>
  <c r="G64"/>
  <c r="H64"/>
  <c r="I64"/>
  <c r="E65"/>
  <c r="F65"/>
  <c r="G65"/>
  <c r="H65"/>
  <c r="I65"/>
  <c r="D62"/>
  <c r="D63"/>
  <c r="D64"/>
  <c r="D65"/>
  <c r="D61"/>
  <c r="C65"/>
  <c r="C64"/>
  <c r="C63"/>
  <c r="C62"/>
  <c r="C61"/>
  <c r="C53"/>
  <c r="C52"/>
  <c r="C51"/>
  <c r="C50"/>
  <c r="C49"/>
  <c r="C39"/>
  <c r="C40"/>
  <c r="C41"/>
  <c r="C42"/>
  <c r="C38"/>
  <c r="B23"/>
  <c r="B8"/>
  <c r="B7"/>
  <c r="B6"/>
  <c r="B24" l="1"/>
  <c r="B33"/>
  <c r="C33" s="1"/>
  <c r="B32"/>
  <c r="C32" s="1"/>
  <c r="D32" s="1"/>
  <c r="B31"/>
  <c r="C31" s="1"/>
  <c r="B30"/>
  <c r="C30" s="1"/>
  <c r="B29"/>
  <c r="B15"/>
  <c r="B16" s="1"/>
  <c r="B22" s="1"/>
  <c r="D30" l="1"/>
  <c r="D29"/>
  <c r="D31"/>
  <c r="D33"/>
  <c r="D40"/>
  <c r="D39"/>
  <c r="D38"/>
  <c r="E32"/>
  <c r="F32"/>
  <c r="D42"/>
  <c r="D41"/>
  <c r="E31" l="1"/>
  <c r="F31"/>
  <c r="E30"/>
  <c r="F30"/>
  <c r="E33"/>
  <c r="F33"/>
  <c r="E29"/>
  <c r="F29"/>
</calcChain>
</file>

<file path=xl/sharedStrings.xml><?xml version="1.0" encoding="utf-8"?>
<sst xmlns="http://schemas.openxmlformats.org/spreadsheetml/2006/main" count="75" uniqueCount="61">
  <si>
    <t>KMnO4</t>
  </si>
  <si>
    <t>g/L</t>
  </si>
  <si>
    <t>mol/L</t>
  </si>
  <si>
    <t>K</t>
  </si>
  <si>
    <t>Mn</t>
  </si>
  <si>
    <t>O4</t>
  </si>
  <si>
    <t>Molar mass (g)</t>
  </si>
  <si>
    <t>Element</t>
  </si>
  <si>
    <t>Mass conc.</t>
  </si>
  <si>
    <t>Molar conc.</t>
  </si>
  <si>
    <t>Solute No.</t>
  </si>
  <si>
    <t>Mass con. (mol/L)</t>
  </si>
  <si>
    <t>Mol. conc (mol/dm^3)</t>
  </si>
  <si>
    <t>Molar conc. = grams of solute * (1/molar mass of solute)</t>
  </si>
  <si>
    <t>Curvette volume</t>
  </si>
  <si>
    <t>m^3</t>
  </si>
  <si>
    <t>amount of KMnO4 (g/L)</t>
  </si>
  <si>
    <t>Curvette Litres</t>
  </si>
  <si>
    <t>L</t>
  </si>
  <si>
    <t>amount per curvette (g)</t>
  </si>
  <si>
    <t>Metric</t>
  </si>
  <si>
    <t>Value</t>
  </si>
  <si>
    <t>Units</t>
  </si>
  <si>
    <t>Date Created:</t>
  </si>
  <si>
    <t>Date Updated:</t>
  </si>
  <si>
    <t>Project #:</t>
  </si>
  <si>
    <t>NA</t>
  </si>
  <si>
    <t>Filepath:</t>
  </si>
  <si>
    <t>Filename:</t>
  </si>
  <si>
    <t>Worksheet:</t>
  </si>
  <si>
    <t>Table 1:</t>
  </si>
  <si>
    <t>Molar Mass Calculations</t>
  </si>
  <si>
    <t>Molar mass calculation of Potassium Permanganate</t>
  </si>
  <si>
    <t>Table 2:</t>
  </si>
  <si>
    <t>Calculation of Molar concerntration of given Mass Concerntration (row 21), using Eqn.1</t>
  </si>
  <si>
    <t>Eqn.1</t>
  </si>
  <si>
    <t>Calculation of Molar concerntration</t>
  </si>
  <si>
    <t>amount per 5 litres (g)</t>
  </si>
  <si>
    <t>Table 3:</t>
  </si>
  <si>
    <t>Theoretical amount of KMnO4 needed for five solutes of given concerntrations</t>
  </si>
  <si>
    <t>Table 4:</t>
  </si>
  <si>
    <t>Given a resolution of 0.01g, calculate Molar concerntrations</t>
  </si>
  <si>
    <t>Mol. conc (10^-4mol/dm^3)</t>
  </si>
  <si>
    <t>amount of KMnO4 (g/5L)</t>
  </si>
  <si>
    <t>Table 5:</t>
  </si>
  <si>
    <t>Test data for concerntrations of KMnO4</t>
  </si>
  <si>
    <t>Violet</t>
  </si>
  <si>
    <t>Blue</t>
  </si>
  <si>
    <t>Green</t>
  </si>
  <si>
    <t>Yellow</t>
  </si>
  <si>
    <t>Orange</t>
  </si>
  <si>
    <t>Red</t>
  </si>
  <si>
    <t>Max Trans (%)</t>
  </si>
  <si>
    <t>Table 6:</t>
  </si>
  <si>
    <t>Calculated absorption values for data in table 5</t>
  </si>
  <si>
    <t>Molar absorptivity ε = A/bc</t>
  </si>
  <si>
    <t>A= absorption</t>
  </si>
  <si>
    <t>b = path of radiation</t>
  </si>
  <si>
    <t>c = concerntration</t>
  </si>
  <si>
    <t>Curvette path</t>
  </si>
  <si>
    <t>mm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</si>
</sst>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00"/>
    <numFmt numFmtId="166" formatCode="0.000"/>
    <numFmt numFmtId="167" formatCode="0.00000000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1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167" fontId="1" fillId="0" borderId="1" xfId="0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Concertation vs Absorption (Green)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Sheet1!$F$59</c:f>
              <c:strCache>
                <c:ptCount val="1"/>
                <c:pt idx="0">
                  <c:v>Green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trendlineLbl>
              <c:layout>
                <c:manualLayout>
                  <c:x val="5.9579444444444449E-2"/>
                  <c:y val="0.36179099454655317"/>
                </c:manualLayout>
              </c:layout>
              <c:numFmt formatCode="General" sourceLinked="0"/>
            </c:trendlineLbl>
          </c:trendline>
          <c:xVal>
            <c:numRef>
              <c:f>Sheet1!$C$61:$C$65</c:f>
              <c:numCache>
                <c:formatCode>0.00</c:formatCode>
                <c:ptCount val="5"/>
                <c:pt idx="0">
                  <c:v>1.6E-2</c:v>
                </c:pt>
                <c:pt idx="1">
                  <c:v>3.2000000000000001E-2</c:v>
                </c:pt>
                <c:pt idx="2">
                  <c:v>4.8000000000000001E-2</c:v>
                </c:pt>
                <c:pt idx="3">
                  <c:v>6.4000000000000001E-2</c:v>
                </c:pt>
                <c:pt idx="4">
                  <c:v>0.08</c:v>
                </c:pt>
              </c:numCache>
            </c:numRef>
          </c:xVal>
          <c:yVal>
            <c:numRef>
              <c:f>Sheet1!$F$61:$F$65</c:f>
              <c:numCache>
                <c:formatCode>0.00</c:formatCode>
                <c:ptCount val="5"/>
                <c:pt idx="0">
                  <c:v>0</c:v>
                </c:pt>
                <c:pt idx="1">
                  <c:v>9.743834798703932E-2</c:v>
                </c:pt>
                <c:pt idx="2">
                  <c:v>0.11184654585097163</c:v>
                </c:pt>
                <c:pt idx="3">
                  <c:v>0.26481205518690332</c:v>
                </c:pt>
                <c:pt idx="4">
                  <c:v>0.36837845934838376</c:v>
                </c:pt>
              </c:numCache>
            </c:numRef>
          </c:yVal>
        </c:ser>
        <c:axId val="56007296"/>
        <c:axId val="56021376"/>
      </c:scatterChart>
      <c:valAx>
        <c:axId val="56007296"/>
        <c:scaling>
          <c:orientation val="minMax"/>
        </c:scaling>
        <c:axPos val="b"/>
        <c:numFmt formatCode="0.00" sourceLinked="1"/>
        <c:tickLblPos val="nextTo"/>
        <c:crossAx val="56021376"/>
        <c:crosses val="autoZero"/>
        <c:crossBetween val="midCat"/>
      </c:valAx>
      <c:valAx>
        <c:axId val="56021376"/>
        <c:scaling>
          <c:orientation val="minMax"/>
          <c:min val="0"/>
        </c:scaling>
        <c:axPos val="l"/>
        <c:numFmt formatCode="0.00" sourceLinked="1"/>
        <c:tickLblPos val="nextTo"/>
        <c:crossAx val="56007296"/>
        <c:crosses val="autoZero"/>
        <c:crossBetween val="midCat"/>
      </c:valAx>
    </c:plotArea>
    <c:plotVisOnly val="1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Concertation vs Absorption (Blue)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Sheet1!$E$59</c:f>
              <c:strCache>
                <c:ptCount val="1"/>
                <c:pt idx="0">
                  <c:v>Blue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trendlineLbl>
              <c:layout>
                <c:manualLayout>
                  <c:x val="7.7218333333333375E-2"/>
                  <c:y val="0.39230153813206081"/>
                </c:manualLayout>
              </c:layout>
              <c:numFmt formatCode="General" sourceLinked="0"/>
            </c:trendlineLbl>
          </c:trendline>
          <c:xVal>
            <c:numRef>
              <c:f>Sheet1!$C$61:$C$65</c:f>
              <c:numCache>
                <c:formatCode>0.00</c:formatCode>
                <c:ptCount val="5"/>
                <c:pt idx="0">
                  <c:v>1.6E-2</c:v>
                </c:pt>
                <c:pt idx="1">
                  <c:v>3.2000000000000001E-2</c:v>
                </c:pt>
                <c:pt idx="2">
                  <c:v>4.8000000000000001E-2</c:v>
                </c:pt>
                <c:pt idx="3">
                  <c:v>6.4000000000000001E-2</c:v>
                </c:pt>
                <c:pt idx="4">
                  <c:v>0.08</c:v>
                </c:pt>
              </c:numCache>
            </c:numRef>
          </c:xVal>
          <c:yVal>
            <c:numRef>
              <c:f>Sheet1!$E$61:$E$65</c:f>
              <c:numCache>
                <c:formatCode>0.00</c:formatCode>
                <c:ptCount val="5"/>
                <c:pt idx="0">
                  <c:v>0.49895992338086453</c:v>
                </c:pt>
                <c:pt idx="1">
                  <c:v>0.7056886760179566</c:v>
                </c:pt>
                <c:pt idx="2">
                  <c:v>0.76435183322088074</c:v>
                </c:pt>
                <c:pt idx="3">
                  <c:v>0.92188882185498633</c:v>
                </c:pt>
                <c:pt idx="4">
                  <c:v>1.042012323824822</c:v>
                </c:pt>
              </c:numCache>
            </c:numRef>
          </c:yVal>
        </c:ser>
        <c:axId val="55870208"/>
        <c:axId val="55871744"/>
      </c:scatterChart>
      <c:valAx>
        <c:axId val="55870208"/>
        <c:scaling>
          <c:orientation val="minMax"/>
        </c:scaling>
        <c:axPos val="b"/>
        <c:numFmt formatCode="0.00" sourceLinked="1"/>
        <c:tickLblPos val="nextTo"/>
        <c:crossAx val="55871744"/>
        <c:crosses val="autoZero"/>
        <c:crossBetween val="midCat"/>
      </c:valAx>
      <c:valAx>
        <c:axId val="55871744"/>
        <c:scaling>
          <c:orientation val="minMax"/>
          <c:max val="1.2"/>
          <c:min val="0"/>
        </c:scaling>
        <c:axPos val="l"/>
        <c:numFmt formatCode="0.00" sourceLinked="1"/>
        <c:tickLblPos val="nextTo"/>
        <c:crossAx val="55870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987500000000004"/>
          <c:y val="0.41464889133643884"/>
          <c:w val="0.33520944444444467"/>
          <c:h val="0.13259784462648108"/>
        </c:manualLayout>
      </c:layout>
      <c:overlay val="1"/>
    </c:legend>
    <c:plotVisOnly val="1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78</xdr:row>
      <xdr:rowOff>9525</xdr:rowOff>
    </xdr:from>
    <xdr:to>
      <xdr:col>3</xdr:col>
      <xdr:colOff>799650</xdr:colOff>
      <xdr:row>98</xdr:row>
      <xdr:rowOff>39600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219075</xdr:colOff>
      <xdr:row>65</xdr:row>
      <xdr:rowOff>47625</xdr:rowOff>
    </xdr:from>
    <xdr:to>
      <xdr:col>5</xdr:col>
      <xdr:colOff>561975</xdr:colOff>
      <xdr:row>76</xdr:row>
      <xdr:rowOff>123825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14575" y="11153775"/>
          <a:ext cx="3486150" cy="1885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0</xdr:colOff>
      <xdr:row>78</xdr:row>
      <xdr:rowOff>0</xdr:rowOff>
    </xdr:from>
    <xdr:to>
      <xdr:col>7</xdr:col>
      <xdr:colOff>456750</xdr:colOff>
      <xdr:row>98</xdr:row>
      <xdr:rowOff>30075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topLeftCell="A43" workbookViewId="0">
      <selection activeCell="C106" sqref="C106"/>
    </sheetView>
  </sheetViews>
  <sheetFormatPr defaultRowHeight="12.75"/>
  <cols>
    <col min="1" max="13" width="15.7109375" style="1" customWidth="1"/>
    <col min="14" max="16384" width="9.140625" style="1"/>
  </cols>
  <sheetData>
    <row r="1" spans="1:7" ht="20.25">
      <c r="A1" s="9" t="s">
        <v>31</v>
      </c>
    </row>
    <row r="3" spans="1:7">
      <c r="A3" s="10" t="s">
        <v>23</v>
      </c>
      <c r="B3" s="11">
        <v>43348</v>
      </c>
    </row>
    <row r="4" spans="1:7">
      <c r="A4" s="10" t="s">
        <v>24</v>
      </c>
      <c r="B4" s="11">
        <v>43348</v>
      </c>
    </row>
    <row r="5" spans="1:7">
      <c r="A5" s="10" t="s">
        <v>25</v>
      </c>
      <c r="B5" s="2" t="s">
        <v>26</v>
      </c>
    </row>
    <row r="6" spans="1:7">
      <c r="A6" s="10" t="s">
        <v>27</v>
      </c>
      <c r="B6" s="2" t="str">
        <f ca="1">LEFT(CELL("filename"),FIND("[",CELL("filename"),1)-1)</f>
        <v>C:\Users\Jamie Bunnell\Desktop\Project to backup\spectrometer files\RGB_absorbance_version\</v>
      </c>
    </row>
    <row r="7" spans="1:7">
      <c r="A7" s="10" t="s">
        <v>28</v>
      </c>
      <c r="B7" s="2" t="str">
        <f ca="1">MID(CELL("filename"),SEARCH("[",CELL("filename"))+1, SEARCH("]",CELL("filename"))-SEARCH("[",CELL("filename"))-1)</f>
        <v>molar mass calculations.xlsx</v>
      </c>
    </row>
    <row r="8" spans="1:7">
      <c r="A8" s="10" t="s">
        <v>29</v>
      </c>
      <c r="B8" s="2" t="str">
        <f ca="1">RIGHT(CELL("filename",E4),LEN(CELL("filename",E4))-FIND("]",CELL("filename",E4)))</f>
        <v>Sheet1</v>
      </c>
    </row>
    <row r="10" spans="1:7">
      <c r="A10" s="12" t="s">
        <v>30</v>
      </c>
      <c r="B10" s="1" t="s">
        <v>32</v>
      </c>
      <c r="F10" s="12" t="s">
        <v>35</v>
      </c>
      <c r="G10" s="1" t="s">
        <v>36</v>
      </c>
    </row>
    <row r="12" spans="1:7">
      <c r="A12" s="6" t="s">
        <v>7</v>
      </c>
      <c r="B12" s="6" t="s">
        <v>6</v>
      </c>
      <c r="F12" s="1" t="s">
        <v>13</v>
      </c>
    </row>
    <row r="13" spans="1:7">
      <c r="A13" s="3" t="s">
        <v>3</v>
      </c>
      <c r="B13" s="4">
        <v>39.098300000000002</v>
      </c>
    </row>
    <row r="14" spans="1:7">
      <c r="A14" s="3" t="s">
        <v>4</v>
      </c>
      <c r="B14" s="4">
        <v>54.938000000000002</v>
      </c>
    </row>
    <row r="15" spans="1:7">
      <c r="A15" s="3" t="s">
        <v>5</v>
      </c>
      <c r="B15" s="4">
        <f>15.9994*4</f>
        <v>63.997599999999998</v>
      </c>
    </row>
    <row r="16" spans="1:7">
      <c r="A16" s="3" t="s">
        <v>0</v>
      </c>
      <c r="B16" s="17">
        <f>SUM(B13:B15)</f>
        <v>158.03390000000002</v>
      </c>
    </row>
    <row r="17" spans="1:6">
      <c r="A17" s="13"/>
      <c r="B17" s="14"/>
    </row>
    <row r="18" spans="1:6">
      <c r="A18" s="12" t="s">
        <v>33</v>
      </c>
      <c r="B18" s="1" t="s">
        <v>34</v>
      </c>
    </row>
    <row r="20" spans="1:6">
      <c r="A20" s="6" t="s">
        <v>20</v>
      </c>
      <c r="B20" s="6" t="s">
        <v>21</v>
      </c>
      <c r="C20" s="6" t="s">
        <v>22</v>
      </c>
    </row>
    <row r="21" spans="1:6">
      <c r="A21" s="15" t="s">
        <v>8</v>
      </c>
      <c r="B21" s="18">
        <v>1.580339E-2</v>
      </c>
      <c r="C21" s="15" t="s">
        <v>1</v>
      </c>
    </row>
    <row r="22" spans="1:6">
      <c r="A22" s="5" t="s">
        <v>9</v>
      </c>
      <c r="B22" s="16">
        <f>B21*(1/B16)</f>
        <v>9.9999999999999991E-5</v>
      </c>
      <c r="C22" s="5" t="s">
        <v>2</v>
      </c>
    </row>
    <row r="23" spans="1:6">
      <c r="A23" s="5" t="s">
        <v>14</v>
      </c>
      <c r="B23" s="21">
        <f>(0.0437*0.0106*0.0106)</f>
        <v>4.9101320000000007E-6</v>
      </c>
      <c r="C23" s="5" t="s">
        <v>15</v>
      </c>
    </row>
    <row r="24" spans="1:6">
      <c r="A24" s="5" t="s">
        <v>17</v>
      </c>
      <c r="B24" s="16">
        <f>B23*1000</f>
        <v>4.9101320000000011E-3</v>
      </c>
      <c r="C24" s="5" t="s">
        <v>18</v>
      </c>
      <c r="E24" s="20"/>
    </row>
    <row r="26" spans="1:6">
      <c r="A26" s="12" t="s">
        <v>38</v>
      </c>
      <c r="B26" s="1" t="s">
        <v>39</v>
      </c>
    </row>
    <row r="28" spans="1:6" ht="25.5">
      <c r="A28" s="8" t="s">
        <v>10</v>
      </c>
      <c r="B28" s="8" t="s">
        <v>12</v>
      </c>
      <c r="C28" s="8" t="s">
        <v>11</v>
      </c>
      <c r="D28" s="8" t="s">
        <v>16</v>
      </c>
      <c r="E28" s="8" t="s">
        <v>37</v>
      </c>
      <c r="F28" s="8" t="s">
        <v>19</v>
      </c>
    </row>
    <row r="29" spans="1:6">
      <c r="A29" s="3">
        <v>1</v>
      </c>
      <c r="B29" s="7">
        <f>1*10^-4</f>
        <v>1E-4</v>
      </c>
      <c r="C29" s="7">
        <f>B29</f>
        <v>1E-4</v>
      </c>
      <c r="D29" s="7">
        <f>C29/(1/$B$16)</f>
        <v>1.580339E-2</v>
      </c>
      <c r="E29" s="4">
        <f>D29*5</f>
        <v>7.9016950000000002E-2</v>
      </c>
      <c r="F29" s="19">
        <f>D29*$B$24</f>
        <v>7.7596730947480014E-5</v>
      </c>
    </row>
    <row r="30" spans="1:6">
      <c r="A30" s="3">
        <v>2</v>
      </c>
      <c r="B30" s="7">
        <f>2*10^-4</f>
        <v>2.0000000000000001E-4</v>
      </c>
      <c r="C30" s="7">
        <f t="shared" ref="C30:C33" si="0">B30</f>
        <v>2.0000000000000001E-4</v>
      </c>
      <c r="D30" s="7">
        <f t="shared" ref="D30:D33" si="1">C30/(1/$B$16)</f>
        <v>3.1606780000000001E-2</v>
      </c>
      <c r="E30" s="4">
        <f>D30*5</f>
        <v>0.1580339</v>
      </c>
      <c r="F30" s="19">
        <f t="shared" ref="F30:F33" si="2">D30*$B$24</f>
        <v>1.5519346189496003E-4</v>
      </c>
    </row>
    <row r="31" spans="1:6">
      <c r="A31" s="3">
        <v>3</v>
      </c>
      <c r="B31" s="7">
        <f>3*10^-4</f>
        <v>3.0000000000000003E-4</v>
      </c>
      <c r="C31" s="7">
        <f t="shared" si="0"/>
        <v>3.0000000000000003E-4</v>
      </c>
      <c r="D31" s="7">
        <f t="shared" si="1"/>
        <v>4.7410170000000008E-2</v>
      </c>
      <c r="E31" s="4">
        <f>D31*5</f>
        <v>0.23705085000000004</v>
      </c>
      <c r="F31" s="19">
        <f t="shared" si="2"/>
        <v>2.3279019284244009E-4</v>
      </c>
    </row>
    <row r="32" spans="1:6">
      <c r="A32" s="3">
        <v>4</v>
      </c>
      <c r="B32" s="7">
        <f>4*10^-4</f>
        <v>4.0000000000000002E-4</v>
      </c>
      <c r="C32" s="7">
        <f t="shared" si="0"/>
        <v>4.0000000000000002E-4</v>
      </c>
      <c r="D32" s="7">
        <f t="shared" si="1"/>
        <v>6.3213560000000002E-2</v>
      </c>
      <c r="E32" s="4">
        <f>D32*5</f>
        <v>0.31606780000000001</v>
      </c>
      <c r="F32" s="19">
        <f t="shared" si="2"/>
        <v>3.1038692378992005E-4</v>
      </c>
    </row>
    <row r="33" spans="1:9">
      <c r="A33" s="3">
        <v>5</v>
      </c>
      <c r="B33" s="7">
        <f>5*10^-4</f>
        <v>5.0000000000000001E-4</v>
      </c>
      <c r="C33" s="7">
        <f t="shared" si="0"/>
        <v>5.0000000000000001E-4</v>
      </c>
      <c r="D33" s="7">
        <f t="shared" si="1"/>
        <v>7.9016950000000002E-2</v>
      </c>
      <c r="E33" s="4">
        <f>D33*5</f>
        <v>0.39508474999999998</v>
      </c>
      <c r="F33" s="19">
        <f t="shared" si="2"/>
        <v>3.8798365473740009E-4</v>
      </c>
    </row>
    <row r="35" spans="1:9">
      <c r="A35" s="12" t="s">
        <v>40</v>
      </c>
      <c r="B35" s="1" t="s">
        <v>41</v>
      </c>
    </row>
    <row r="37" spans="1:9" ht="25.5">
      <c r="A37" s="8" t="s">
        <v>10</v>
      </c>
      <c r="B37" s="8" t="s">
        <v>43</v>
      </c>
      <c r="C37" s="8" t="s">
        <v>16</v>
      </c>
      <c r="D37" s="8" t="s">
        <v>42</v>
      </c>
    </row>
    <row r="38" spans="1:9">
      <c r="A38" s="3">
        <v>1</v>
      </c>
      <c r="B38" s="4">
        <v>0.08</v>
      </c>
      <c r="C38" s="4">
        <f>B38/5</f>
        <v>1.6E-2</v>
      </c>
      <c r="D38" s="4">
        <f>(C38*(1/$B$16))*10000</f>
        <v>1.0124410015825718</v>
      </c>
      <c r="E38" s="1">
        <f t="shared" ref="E38:E41" si="3">D38/10000</f>
        <v>1.0124410015825717E-4</v>
      </c>
    </row>
    <row r="39" spans="1:9">
      <c r="A39" s="3">
        <v>2</v>
      </c>
      <c r="B39" s="4">
        <v>0.16</v>
      </c>
      <c r="C39" s="4">
        <f t="shared" ref="C39:C42" si="4">B39/5</f>
        <v>3.2000000000000001E-2</v>
      </c>
      <c r="D39" s="4">
        <f t="shared" ref="D39:D42" si="5">(C39*(1/$B$16))*10000</f>
        <v>2.0248820031651436</v>
      </c>
      <c r="E39" s="1">
        <f t="shared" si="3"/>
        <v>2.0248820031651434E-4</v>
      </c>
    </row>
    <row r="40" spans="1:9">
      <c r="A40" s="3">
        <v>3</v>
      </c>
      <c r="B40" s="4">
        <v>0.24</v>
      </c>
      <c r="C40" s="4">
        <f t="shared" si="4"/>
        <v>4.8000000000000001E-2</v>
      </c>
      <c r="D40" s="4">
        <f t="shared" si="5"/>
        <v>3.0373230047477153</v>
      </c>
      <c r="E40" s="1">
        <f t="shared" si="3"/>
        <v>3.0373230047477155E-4</v>
      </c>
    </row>
    <row r="41" spans="1:9">
      <c r="A41" s="3">
        <v>4</v>
      </c>
      <c r="B41" s="4">
        <v>0.32</v>
      </c>
      <c r="C41" s="4">
        <f t="shared" si="4"/>
        <v>6.4000000000000001E-2</v>
      </c>
      <c r="D41" s="4">
        <f t="shared" si="5"/>
        <v>4.0497640063302871</v>
      </c>
      <c r="E41" s="1">
        <f t="shared" si="3"/>
        <v>4.0497640063302868E-4</v>
      </c>
    </row>
    <row r="42" spans="1:9">
      <c r="A42" s="3">
        <v>5</v>
      </c>
      <c r="B42" s="4">
        <v>0.4</v>
      </c>
      <c r="C42" s="4">
        <f t="shared" si="4"/>
        <v>0.08</v>
      </c>
      <c r="D42" s="4">
        <f t="shared" si="5"/>
        <v>5.0622050079128584</v>
      </c>
      <c r="E42" s="1">
        <f>D42/10000</f>
        <v>5.0622050079128587E-4</v>
      </c>
    </row>
    <row r="44" spans="1:9">
      <c r="A44" s="12" t="s">
        <v>44</v>
      </c>
      <c r="B44" s="1" t="s">
        <v>45</v>
      </c>
    </row>
    <row r="45" spans="1:9">
      <c r="A45" s="12"/>
    </row>
    <row r="46" spans="1:9">
      <c r="A46" s="12" t="s">
        <v>52</v>
      </c>
      <c r="B46" s="1">
        <v>51201</v>
      </c>
    </row>
    <row r="48" spans="1:9" ht="25.5">
      <c r="A48" s="8" t="s">
        <v>10</v>
      </c>
      <c r="B48" s="8" t="s">
        <v>43</v>
      </c>
      <c r="C48" s="8" t="s">
        <v>16</v>
      </c>
      <c r="D48" s="8" t="s">
        <v>46</v>
      </c>
      <c r="E48" s="8" t="s">
        <v>47</v>
      </c>
      <c r="F48" s="8" t="s">
        <v>48</v>
      </c>
      <c r="G48" s="8" t="s">
        <v>49</v>
      </c>
      <c r="H48" s="8" t="s">
        <v>50</v>
      </c>
      <c r="I48" s="8" t="s">
        <v>51</v>
      </c>
    </row>
    <row r="49" spans="1:9">
      <c r="A49" s="3">
        <v>1</v>
      </c>
      <c r="B49" s="4">
        <v>0.08</v>
      </c>
      <c r="C49" s="4">
        <f>B49/5</f>
        <v>1.6E-2</v>
      </c>
      <c r="D49" s="23">
        <v>51201</v>
      </c>
      <c r="E49" s="23">
        <v>16230</v>
      </c>
      <c r="F49" s="23">
        <v>51201</v>
      </c>
      <c r="G49" s="23">
        <v>51201</v>
      </c>
      <c r="H49" s="23">
        <v>51201</v>
      </c>
      <c r="I49" s="23">
        <v>11078</v>
      </c>
    </row>
    <row r="50" spans="1:9">
      <c r="A50" s="3">
        <v>2</v>
      </c>
      <c r="B50" s="4">
        <v>0.16</v>
      </c>
      <c r="C50" s="4">
        <f t="shared" ref="C50:C53" si="6">B50/5</f>
        <v>3.2000000000000001E-2</v>
      </c>
      <c r="D50" s="23">
        <v>51201</v>
      </c>
      <c r="E50" s="23">
        <v>10083</v>
      </c>
      <c r="F50" s="23">
        <v>40911</v>
      </c>
      <c r="G50" s="23">
        <v>51201</v>
      </c>
      <c r="H50" s="23">
        <v>51201</v>
      </c>
      <c r="I50" s="23">
        <v>9738</v>
      </c>
    </row>
    <row r="51" spans="1:9">
      <c r="A51" s="3">
        <v>3</v>
      </c>
      <c r="B51" s="4">
        <v>0.24</v>
      </c>
      <c r="C51" s="4">
        <f t="shared" si="6"/>
        <v>4.8000000000000001E-2</v>
      </c>
      <c r="D51" s="23">
        <v>51201</v>
      </c>
      <c r="E51" s="23">
        <v>8809</v>
      </c>
      <c r="F51" s="23">
        <v>39576</v>
      </c>
      <c r="G51" s="23">
        <v>51201</v>
      </c>
      <c r="H51" s="23">
        <v>51201</v>
      </c>
      <c r="I51" s="23">
        <v>13297</v>
      </c>
    </row>
    <row r="52" spans="1:9">
      <c r="A52" s="3">
        <v>4</v>
      </c>
      <c r="B52" s="4">
        <v>0.32</v>
      </c>
      <c r="C52" s="4">
        <f t="shared" si="6"/>
        <v>6.4000000000000001E-2</v>
      </c>
      <c r="D52" s="23">
        <v>51201</v>
      </c>
      <c r="E52" s="23">
        <v>6129</v>
      </c>
      <c r="F52" s="23">
        <v>27827</v>
      </c>
      <c r="G52" s="23">
        <v>51201</v>
      </c>
      <c r="H52" s="23">
        <v>51201</v>
      </c>
      <c r="I52" s="23">
        <v>12326</v>
      </c>
    </row>
    <row r="53" spans="1:9">
      <c r="A53" s="3">
        <v>5</v>
      </c>
      <c r="B53" s="4">
        <v>0.4</v>
      </c>
      <c r="C53" s="4">
        <f t="shared" si="6"/>
        <v>0.08</v>
      </c>
      <c r="D53" s="23">
        <v>51201</v>
      </c>
      <c r="E53" s="23">
        <v>4648</v>
      </c>
      <c r="F53" s="23">
        <v>21923</v>
      </c>
      <c r="G53" s="23">
        <v>46890</v>
      </c>
      <c r="H53" s="23">
        <v>51201</v>
      </c>
      <c r="I53" s="23">
        <v>11850</v>
      </c>
    </row>
    <row r="55" spans="1:9">
      <c r="A55" s="12" t="s">
        <v>53</v>
      </c>
      <c r="B55" s="1" t="s">
        <v>54</v>
      </c>
    </row>
    <row r="56" spans="1:9">
      <c r="A56" s="12"/>
    </row>
    <row r="57" spans="1:9">
      <c r="A57" s="12" t="s">
        <v>59</v>
      </c>
      <c r="B57" s="1">
        <v>10.8</v>
      </c>
      <c r="C57" s="1" t="s">
        <v>60</v>
      </c>
    </row>
    <row r="59" spans="1:9" ht="25.5">
      <c r="A59" s="8" t="s">
        <v>10</v>
      </c>
      <c r="B59" s="8" t="s">
        <v>43</v>
      </c>
      <c r="C59" s="8" t="s">
        <v>16</v>
      </c>
      <c r="D59" s="8" t="s">
        <v>46</v>
      </c>
      <c r="E59" s="8" t="s">
        <v>47</v>
      </c>
      <c r="F59" s="8" t="s">
        <v>48</v>
      </c>
      <c r="G59" s="8" t="s">
        <v>49</v>
      </c>
      <c r="H59" s="8" t="s">
        <v>50</v>
      </c>
      <c r="I59" s="8" t="s">
        <v>51</v>
      </c>
    </row>
    <row r="60" spans="1:9">
      <c r="A60" s="8">
        <v>0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</row>
    <row r="61" spans="1:9">
      <c r="A61" s="3">
        <v>1</v>
      </c>
      <c r="B61" s="4">
        <v>0.08</v>
      </c>
      <c r="C61" s="4">
        <f>B61/5</f>
        <v>1.6E-2</v>
      </c>
      <c r="D61" s="22">
        <f>-LOG10(D49/$B$46)</f>
        <v>0</v>
      </c>
      <c r="E61" s="22">
        <f t="shared" ref="E61:I61" si="7">-LOG10(E49/$B$46)</f>
        <v>0.49895992338086453</v>
      </c>
      <c r="F61" s="22">
        <f t="shared" si="7"/>
        <v>0</v>
      </c>
      <c r="G61" s="22">
        <f t="shared" si="7"/>
        <v>0</v>
      </c>
      <c r="H61" s="22">
        <f t="shared" si="7"/>
        <v>0</v>
      </c>
      <c r="I61" s="22">
        <f t="shared" si="7"/>
        <v>0.66481708239643156</v>
      </c>
    </row>
    <row r="62" spans="1:9">
      <c r="A62" s="3">
        <v>2</v>
      </c>
      <c r="B62" s="4">
        <v>0.16</v>
      </c>
      <c r="C62" s="4">
        <f t="shared" ref="C62:C65" si="8">B62/5</f>
        <v>3.2000000000000001E-2</v>
      </c>
      <c r="D62" s="22">
        <f t="shared" ref="D62:I65" si="9">-LOG10(D50/$B$46)</f>
        <v>0</v>
      </c>
      <c r="E62" s="22">
        <f t="shared" si="9"/>
        <v>0.7056886760179566</v>
      </c>
      <c r="F62" s="22">
        <f t="shared" si="9"/>
        <v>9.743834798703932E-2</v>
      </c>
      <c r="G62" s="22">
        <f t="shared" si="9"/>
        <v>0</v>
      </c>
      <c r="H62" s="22">
        <f t="shared" si="9"/>
        <v>0</v>
      </c>
      <c r="I62" s="22">
        <f t="shared" si="9"/>
        <v>0.72080867299722085</v>
      </c>
    </row>
    <row r="63" spans="1:9">
      <c r="A63" s="3">
        <v>3</v>
      </c>
      <c r="B63" s="4">
        <v>0.24</v>
      </c>
      <c r="C63" s="4">
        <f t="shared" si="8"/>
        <v>4.8000000000000001E-2</v>
      </c>
      <c r="D63" s="22">
        <f t="shared" si="9"/>
        <v>0</v>
      </c>
      <c r="E63" s="22">
        <f t="shared" si="9"/>
        <v>0.76435183322088074</v>
      </c>
      <c r="F63" s="22">
        <f t="shared" si="9"/>
        <v>0.11184654585097163</v>
      </c>
      <c r="G63" s="22">
        <f t="shared" si="9"/>
        <v>0</v>
      </c>
      <c r="H63" s="22">
        <f t="shared" si="9"/>
        <v>0</v>
      </c>
      <c r="I63" s="22">
        <f t="shared" si="9"/>
        <v>0.58552477445125517</v>
      </c>
    </row>
    <row r="64" spans="1:9">
      <c r="A64" s="3">
        <v>4</v>
      </c>
      <c r="B64" s="4">
        <v>0.32</v>
      </c>
      <c r="C64" s="4">
        <f t="shared" si="8"/>
        <v>6.4000000000000001E-2</v>
      </c>
      <c r="D64" s="22">
        <f t="shared" si="9"/>
        <v>0</v>
      </c>
      <c r="E64" s="22">
        <f t="shared" si="9"/>
        <v>0.92188882185498633</v>
      </c>
      <c r="F64" s="22">
        <f t="shared" si="9"/>
        <v>0.26481205518690332</v>
      </c>
      <c r="G64" s="22">
        <f t="shared" si="9"/>
        <v>0</v>
      </c>
      <c r="H64" s="22">
        <f t="shared" si="9"/>
        <v>0</v>
      </c>
      <c r="I64" s="22">
        <f t="shared" si="9"/>
        <v>0.61845627981243978</v>
      </c>
    </row>
    <row r="65" spans="1:9">
      <c r="A65" s="3">
        <v>5</v>
      </c>
      <c r="B65" s="4">
        <v>0.4</v>
      </c>
      <c r="C65" s="4">
        <f t="shared" si="8"/>
        <v>0.08</v>
      </c>
      <c r="D65" s="22">
        <f t="shared" si="9"/>
        <v>0</v>
      </c>
      <c r="E65" s="22">
        <f t="shared" si="9"/>
        <v>1.042012323824822</v>
      </c>
      <c r="F65" s="22">
        <f t="shared" si="9"/>
        <v>0.36837845934838376</v>
      </c>
      <c r="G65" s="22">
        <f t="shared" si="9"/>
        <v>3.8198210468247062E-2</v>
      </c>
      <c r="H65" s="22">
        <f t="shared" si="9"/>
        <v>0</v>
      </c>
      <c r="I65" s="22">
        <f t="shared" si="9"/>
        <v>0.6355600928609737</v>
      </c>
    </row>
    <row r="67" spans="1:9">
      <c r="B67" s="25"/>
      <c r="D67" s="24"/>
      <c r="E67" s="24"/>
      <c r="F67" s="24"/>
      <c r="G67" s="24"/>
      <c r="H67" s="24"/>
      <c r="I67" s="24"/>
    </row>
    <row r="68" spans="1:9">
      <c r="D68" s="24"/>
      <c r="E68" s="24"/>
      <c r="F68" s="24"/>
      <c r="G68" s="24"/>
      <c r="H68" s="24"/>
      <c r="I68" s="24"/>
    </row>
    <row r="69" spans="1:9">
      <c r="D69" s="24"/>
      <c r="E69" s="24"/>
      <c r="F69" s="24"/>
      <c r="G69" s="24"/>
      <c r="H69" s="24"/>
      <c r="I69" s="24"/>
    </row>
    <row r="70" spans="1:9">
      <c r="D70" s="24"/>
      <c r="E70" s="24"/>
      <c r="F70" s="24"/>
      <c r="G70" s="24"/>
      <c r="H70" s="24"/>
      <c r="I70" s="24"/>
    </row>
    <row r="71" spans="1:9">
      <c r="D71" s="24"/>
      <c r="E71" s="24"/>
      <c r="F71" s="24"/>
      <c r="G71" s="24"/>
      <c r="H71" s="24"/>
      <c r="I71" s="24"/>
    </row>
    <row r="73" spans="1:9" ht="15">
      <c r="A73" t="s">
        <v>55</v>
      </c>
    </row>
    <row r="74" spans="1:9">
      <c r="A74" s="1" t="s">
        <v>56</v>
      </c>
    </row>
    <row r="75" spans="1:9">
      <c r="A75" s="1" t="s">
        <v>57</v>
      </c>
    </row>
    <row r="76" spans="1:9">
      <c r="A76" s="1" t="s">
        <v>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EX19</dc:creator>
  <cp:lastModifiedBy>Jamie Bunnell</cp:lastModifiedBy>
  <dcterms:created xsi:type="dcterms:W3CDTF">2018-09-05T12:02:09Z</dcterms:created>
  <dcterms:modified xsi:type="dcterms:W3CDTF">2018-09-11T19:57:04Z</dcterms:modified>
</cp:coreProperties>
</file>